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19140" windowHeight="8424"/>
  </bookViews>
  <sheets>
    <sheet name="калькулятор-BLDC" sheetId="1" r:id="rId1"/>
    <sheet name="батарея" sheetId="2" r:id="rId2"/>
  </sheets>
  <calcPr calcId="145621" refMode="R1C1"/>
</workbook>
</file>

<file path=xl/calcChain.xml><?xml version="1.0" encoding="utf-8"?>
<calcChain xmlns="http://schemas.openxmlformats.org/spreadsheetml/2006/main">
  <c r="F12" i="2" l="1"/>
  <c r="F9" i="2"/>
  <c r="B8" i="2"/>
  <c r="B9" i="2" s="1"/>
  <c r="F10" i="2" l="1"/>
  <c r="J7" i="1"/>
  <c r="C19" i="1"/>
  <c r="I27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9" i="1"/>
  <c r="C20" i="1"/>
  <c r="G5" i="1"/>
  <c r="C25" i="1"/>
  <c r="C10" i="1"/>
  <c r="C5" i="1"/>
  <c r="C9" i="1" s="1"/>
  <c r="F17" i="2" l="1"/>
  <c r="F15" i="2"/>
  <c r="F13" i="2"/>
  <c r="F11" i="2"/>
  <c r="C12" i="1"/>
  <c r="C23" i="1" s="1"/>
  <c r="F14" i="2" l="1"/>
  <c r="F18" i="2"/>
  <c r="C27" i="1"/>
  <c r="B7" i="2" s="1"/>
  <c r="G6" i="1"/>
  <c r="G4" i="1"/>
  <c r="B12" i="2" l="1"/>
  <c r="B10" i="2"/>
  <c r="K11" i="1"/>
  <c r="K15" i="1"/>
  <c r="K19" i="1"/>
  <c r="K23" i="1"/>
  <c r="G11" i="1"/>
  <c r="G15" i="1"/>
  <c r="G19" i="1"/>
  <c r="G23" i="1"/>
  <c r="K12" i="1"/>
  <c r="K16" i="1"/>
  <c r="K20" i="1"/>
  <c r="G12" i="1"/>
  <c r="G16" i="1"/>
  <c r="G20" i="1"/>
  <c r="K9" i="1"/>
  <c r="L9" i="1" s="1"/>
  <c r="K24" i="1"/>
  <c r="K13" i="1"/>
  <c r="K17" i="1"/>
  <c r="K21" i="1"/>
  <c r="L21" i="1" s="1"/>
  <c r="G9" i="1"/>
  <c r="G13" i="1"/>
  <c r="G17" i="1"/>
  <c r="G21" i="1"/>
  <c r="K14" i="1"/>
  <c r="K18" i="1"/>
  <c r="L18" i="1" s="1"/>
  <c r="K22" i="1"/>
  <c r="G14" i="1"/>
  <c r="G18" i="1"/>
  <c r="K10" i="1"/>
  <c r="L10" i="1" s="1"/>
  <c r="G10" i="1"/>
  <c r="G22" i="1"/>
  <c r="B13" i="2" l="1"/>
  <c r="B17" i="2"/>
  <c r="B15" i="2"/>
  <c r="B11" i="2"/>
  <c r="L13" i="1"/>
  <c r="L12" i="1"/>
  <c r="L14" i="1"/>
  <c r="L24" i="1"/>
  <c r="L23" i="1"/>
  <c r="L20" i="1"/>
  <c r="L19" i="1"/>
  <c r="L22" i="1"/>
  <c r="L17" i="1"/>
  <c r="L16" i="1"/>
  <c r="L15" i="1"/>
  <c r="L11" i="1"/>
  <c r="B14" i="2" l="1"/>
  <c r="B18" i="2"/>
</calcChain>
</file>

<file path=xl/comments1.xml><?xml version="1.0" encoding="utf-8"?>
<comments xmlns="http://schemas.openxmlformats.org/spreadsheetml/2006/main">
  <authors>
    <author>Сергей Антонов</author>
  </authors>
  <commentList>
    <comment ref="J9" authorId="0">
      <text>
        <r>
          <rPr>
            <b/>
            <sz val="9"/>
            <color indexed="81"/>
            <rFont val="Tahoma"/>
            <family val="2"/>
            <charset val="204"/>
          </rPr>
          <t>формула</t>
        </r>
      </text>
    </comment>
  </commentList>
</comments>
</file>

<file path=xl/sharedStrings.xml><?xml version="1.0" encoding="utf-8"?>
<sst xmlns="http://schemas.openxmlformats.org/spreadsheetml/2006/main" count="115" uniqueCount="78">
  <si>
    <t>Задаёмся значениями коэффициентов:</t>
  </si>
  <si>
    <t>Расчет мощности электродвигателя</t>
  </si>
  <si>
    <t>Параметр</t>
  </si>
  <si>
    <t>значение</t>
  </si>
  <si>
    <t>формула</t>
  </si>
  <si>
    <t>КПД (трансмиссии (~0,76), электродвигателя (~0,90), контроллера (~0,95))</t>
  </si>
  <si>
    <t>Ватт</t>
  </si>
  <si>
    <t>Расчет мощности электродвигателя с учётом КПД</t>
  </si>
  <si>
    <t>А</t>
  </si>
  <si>
    <t>B</t>
  </si>
  <si>
    <t>C</t>
  </si>
  <si>
    <t>α= x°</t>
  </si>
  <si>
    <t>Дополнительный полезный вес (пассажир, багаж)</t>
  </si>
  <si>
    <t>V</t>
  </si>
  <si>
    <t>Наклон, град</t>
  </si>
  <si>
    <t>Мощность, кВт</t>
  </si>
  <si>
    <t>Наклон, %</t>
  </si>
  <si>
    <t>добавка к мощности</t>
  </si>
  <si>
    <t>угол = arctg(0,01*уклон в %).</t>
  </si>
  <si>
    <r>
      <t>Снаряжённая масса автомобиля донора </t>
    </r>
    <r>
      <rPr>
        <b/>
        <sz val="10"/>
        <color rgb="FF333745"/>
        <rFont val="Arial"/>
        <family val="2"/>
        <charset val="204"/>
      </rPr>
      <t>650 кг</t>
    </r>
    <r>
      <rPr>
        <sz val="10"/>
        <color rgb="FF333745"/>
        <rFont val="Arial"/>
        <family val="2"/>
        <charset val="204"/>
      </rPr>
      <t>.</t>
    </r>
  </si>
  <si>
    <r>
      <t>Вес одной батареи Winston 100AH составляет </t>
    </r>
    <r>
      <rPr>
        <b/>
        <sz val="10"/>
        <color rgb="FF333745"/>
        <rFont val="Arial"/>
        <family val="2"/>
        <charset val="204"/>
      </rPr>
      <t>3,6кг</t>
    </r>
    <r>
      <rPr>
        <sz val="10"/>
        <color rgb="FF333745"/>
        <rFont val="Arial"/>
        <family val="2"/>
        <charset val="204"/>
      </rPr>
      <t>. Комплект из 16 батарей весит </t>
    </r>
    <r>
      <rPr>
        <b/>
        <sz val="10"/>
        <color rgb="FF333745"/>
        <rFont val="Arial"/>
        <family val="2"/>
        <charset val="204"/>
      </rPr>
      <t>57,6 кг</t>
    </r>
    <r>
      <rPr>
        <sz val="10"/>
        <color rgb="FF333745"/>
        <rFont val="Arial"/>
        <family val="2"/>
        <charset val="204"/>
      </rPr>
      <t>.</t>
    </r>
  </si>
  <si>
    <r>
      <t>Общая масса с округлением </t>
    </r>
    <r>
      <rPr>
        <b/>
        <sz val="10"/>
        <color rgb="FF333745"/>
        <rFont val="Arial"/>
        <family val="2"/>
        <charset val="204"/>
      </rPr>
      <t>760 кг</t>
    </r>
    <r>
      <rPr>
        <sz val="10"/>
        <color rgb="FF333745"/>
        <rFont val="Arial"/>
        <family val="2"/>
        <charset val="204"/>
      </rPr>
      <t>.</t>
    </r>
  </si>
  <si>
    <r>
      <t>Добавляем  массу водителя </t>
    </r>
    <r>
      <rPr>
        <b/>
        <sz val="10"/>
        <color rgb="FF333745"/>
        <rFont val="Arial"/>
        <family val="2"/>
        <charset val="204"/>
      </rPr>
      <t>85 кг</t>
    </r>
    <r>
      <rPr>
        <sz val="10"/>
        <color rgb="FF333745"/>
        <rFont val="Arial"/>
        <family val="2"/>
        <charset val="204"/>
      </rPr>
      <t> и пассажира </t>
    </r>
    <r>
      <rPr>
        <b/>
        <sz val="10"/>
        <color rgb="FF333745"/>
        <rFont val="Arial"/>
        <family val="2"/>
        <charset val="204"/>
      </rPr>
      <t>85 к</t>
    </r>
    <r>
      <rPr>
        <sz val="10"/>
        <color rgb="FF333745"/>
        <rFont val="Arial"/>
        <family val="2"/>
        <charset val="204"/>
      </rPr>
      <t>г.</t>
    </r>
  </si>
  <si>
    <r>
      <t>В итоге принимаем полную расчётную массу </t>
    </r>
    <r>
      <rPr>
        <b/>
        <sz val="10"/>
        <color rgb="FF333745"/>
        <rFont val="Arial"/>
        <family val="2"/>
        <charset val="204"/>
      </rPr>
      <t>1000 кг</t>
    </r>
    <r>
      <rPr>
        <sz val="10"/>
        <color rgb="FF333745"/>
        <rFont val="Arial"/>
        <family val="2"/>
        <charset val="204"/>
      </rPr>
      <t>.</t>
    </r>
  </si>
  <si>
    <r>
      <t>Сx=0,342</t>
    </r>
    <r>
      <rPr>
        <sz val="10"/>
        <color rgb="FF333745"/>
        <rFont val="Arial"/>
        <family val="2"/>
        <charset val="204"/>
      </rPr>
      <t> (коэффициент аэродинамического сопротивления); </t>
    </r>
  </si>
  <si>
    <r>
      <t>S=2м</t>
    </r>
    <r>
      <rPr>
        <b/>
        <vertAlign val="superscript"/>
        <sz val="10"/>
        <color rgb="FF333745"/>
        <rFont val="Arial"/>
        <family val="2"/>
        <charset val="204"/>
      </rPr>
      <t>2 </t>
    </r>
    <r>
      <rPr>
        <sz val="10"/>
        <color rgb="FF333745"/>
        <rFont val="Arial"/>
        <family val="2"/>
        <charset val="204"/>
      </rPr>
      <t>(площадь поперечного сечения автомобиля);</t>
    </r>
  </si>
  <si>
    <r>
      <t>g = 9.8 м/с</t>
    </r>
    <r>
      <rPr>
        <b/>
        <vertAlign val="superscript"/>
        <sz val="10"/>
        <color rgb="FF333745"/>
        <rFont val="Arial"/>
        <family val="2"/>
        <charset val="204"/>
      </rPr>
      <t>2 </t>
    </r>
    <r>
      <rPr>
        <sz val="10"/>
        <color rgb="FF333745"/>
        <rFont val="Arial"/>
        <family val="2"/>
        <charset val="204"/>
      </rPr>
      <t>(ускорение свободного падения);</t>
    </r>
  </si>
  <si>
    <r>
      <t>Fтр= 0,018</t>
    </r>
    <r>
      <rPr>
        <sz val="10"/>
        <color rgb="FF333745"/>
        <rFont val="Arial"/>
        <family val="2"/>
        <charset val="204"/>
      </rPr>
      <t> (коэффициент силы трения для асфальта);</t>
    </r>
  </si>
  <si>
    <r>
      <t>α= 0°</t>
    </r>
    <r>
      <rPr>
        <sz val="10"/>
        <color rgb="FF333745"/>
        <rFont val="Arial"/>
        <family val="2"/>
        <charset val="204"/>
      </rPr>
      <t> (угол наклона дороги);</t>
    </r>
  </si>
  <si>
    <r>
      <t>ρв=1,225 кг/м</t>
    </r>
    <r>
      <rPr>
        <b/>
        <vertAlign val="superscript"/>
        <sz val="10"/>
        <color rgb="FF333745"/>
        <rFont val="Arial"/>
        <family val="2"/>
        <charset val="204"/>
      </rPr>
      <t>3</t>
    </r>
    <r>
      <rPr>
        <sz val="10"/>
        <color rgb="FF333745"/>
        <rFont val="Arial"/>
        <family val="2"/>
        <charset val="204"/>
      </rPr>
      <t>(плотность воздуха).</t>
    </r>
  </si>
  <si>
    <r>
      <t xml:space="preserve">V </t>
    </r>
    <r>
      <rPr>
        <sz val="10"/>
        <color rgb="FF333745"/>
        <rFont val="Arial"/>
        <family val="2"/>
        <charset val="204"/>
      </rPr>
      <t>скорость автомобиля в </t>
    </r>
    <r>
      <rPr>
        <b/>
        <sz val="10"/>
        <color rgb="FF333745"/>
        <rFont val="Arial"/>
        <family val="2"/>
        <charset val="204"/>
      </rPr>
      <t xml:space="preserve">км/ч </t>
    </r>
  </si>
  <si>
    <r>
      <t>V скорость автомобиля в</t>
    </r>
    <r>
      <rPr>
        <sz val="10"/>
        <color rgb="FF333745"/>
        <rFont val="Arial"/>
        <family val="2"/>
        <charset val="204"/>
      </rPr>
      <t> </t>
    </r>
    <r>
      <rPr>
        <b/>
        <sz val="10"/>
        <color rgb="FF333745"/>
        <rFont val="Arial"/>
        <family val="2"/>
        <charset val="204"/>
      </rPr>
      <t>м/с</t>
    </r>
    <r>
      <rPr>
        <sz val="10"/>
        <color rgb="FF333745"/>
        <rFont val="Arial"/>
        <family val="2"/>
        <charset val="204"/>
      </rPr>
      <t>) -переводим скорость из "км/ч" в "м/с" делением на </t>
    </r>
    <r>
      <rPr>
        <b/>
        <sz val="10"/>
        <color rgb="FF333745"/>
        <rFont val="Arial"/>
        <family val="2"/>
        <charset val="204"/>
      </rPr>
      <t>3,6</t>
    </r>
  </si>
  <si>
    <t>км/ч</t>
  </si>
  <si>
    <t>g</t>
  </si>
  <si>
    <t>m</t>
  </si>
  <si>
    <t>Сx</t>
  </si>
  <si>
    <t>S</t>
  </si>
  <si>
    <t>Fтр</t>
  </si>
  <si>
    <t>α</t>
  </si>
  <si>
    <t>ρв</t>
  </si>
  <si>
    <r>
      <t xml:space="preserve">Вес электродвигателя 10кВт - </t>
    </r>
    <r>
      <rPr>
        <b/>
        <sz val="10"/>
        <color rgb="FF333745"/>
        <rFont val="Arial"/>
        <family val="2"/>
        <charset val="204"/>
      </rPr>
      <t>17 кг</t>
    </r>
    <r>
      <rPr>
        <sz val="10"/>
        <color rgb="FF333745"/>
        <rFont val="Arial"/>
        <family val="2"/>
        <charset val="204"/>
      </rPr>
      <t>.</t>
    </r>
  </si>
  <si>
    <r>
      <t>Вес контроллера 10кВт -</t>
    </r>
    <r>
      <rPr>
        <b/>
        <sz val="10"/>
        <color rgb="FF333745"/>
        <rFont val="Arial"/>
        <family val="2"/>
        <charset val="204"/>
      </rPr>
      <t>4 кг</t>
    </r>
    <r>
      <rPr>
        <sz val="10"/>
        <color rgb="FF333745"/>
        <rFont val="Arial"/>
        <family val="2"/>
        <charset val="204"/>
      </rPr>
      <t>.</t>
    </r>
  </si>
  <si>
    <t>м/c, формула</t>
  </si>
  <si>
    <t>Скорость фикс</t>
  </si>
  <si>
    <t>Скорость, км/ч</t>
  </si>
  <si>
    <t>м/c, пересчёт</t>
  </si>
  <si>
    <t>http://goldenmotor.ru/electromobil-svoimi-rukami/</t>
  </si>
  <si>
    <t>Расчет мощности электродвигателя BLDC</t>
  </si>
  <si>
    <t>Дополнительный вес (переходная плита, провода, крепление, зарядное устройство, жидкость в радиаторе)</t>
  </si>
  <si>
    <t>Расчет батарей</t>
  </si>
  <si>
    <t>Потребляемая мощность, Вт</t>
  </si>
  <si>
    <t>Средняя скорость, км/ч</t>
  </si>
  <si>
    <t>Дальность, км</t>
  </si>
  <si>
    <r>
      <t>расчет из вкладки "</t>
    </r>
    <r>
      <rPr>
        <b/>
        <sz val="11"/>
        <color theme="1"/>
        <rFont val="Calibri"/>
        <family val="2"/>
        <charset val="204"/>
        <scheme val="minor"/>
      </rPr>
      <t>калькулятор-BLDC</t>
    </r>
    <r>
      <rPr>
        <sz val="11"/>
        <color theme="1"/>
        <rFont val="Calibri"/>
        <family val="2"/>
        <charset val="204"/>
        <scheme val="minor"/>
      </rPr>
      <t>"</t>
    </r>
  </si>
  <si>
    <t>Примечание</t>
  </si>
  <si>
    <t>Время движения, ч</t>
  </si>
  <si>
    <t>Напряжение батареи, В</t>
  </si>
  <si>
    <t>Затрачиваемая энергия, Дж</t>
  </si>
  <si>
    <t>расчет</t>
  </si>
  <si>
    <t>Минимальная ёмкость АКБ, Ач</t>
  </si>
  <si>
    <t>кг</t>
  </si>
  <si>
    <t>вставьте значение, Вт</t>
  </si>
  <si>
    <t>вставьте скорость при такой мощности</t>
  </si>
  <si>
    <t>Калькулятор для произвольных значений</t>
  </si>
  <si>
    <t>Ач ( расчет)</t>
  </si>
  <si>
    <t>Ток отдачи батареи, А</t>
  </si>
  <si>
    <t>Ампер ( расчет)</t>
  </si>
  <si>
    <t>Вес свинцовой АКБ, кг</t>
  </si>
  <si>
    <t>Вес LiFePO4 АКБ, кг</t>
  </si>
  <si>
    <t>Калькулятор для значений из вкладки "калькулятор-BLDC"</t>
  </si>
  <si>
    <t>вставьте дальность, км</t>
  </si>
  <si>
    <t>вставьте напряжение АКБ, В</t>
  </si>
  <si>
    <t>ориентировочная стоимость АКБ LiFePO4</t>
  </si>
  <si>
    <t>* имейте в виду, что свинцовая АКБ может отдавать долговременно ток со значением, не более своей ёмкости (100Ач отдаёт 100А). Если АКБ не может отдать требуемый ток, то надо увеличивать ёмкость!</t>
  </si>
  <si>
    <t>Время заряда LiFePO4 АКБ, ч</t>
  </si>
  <si>
    <t>ч</t>
  </si>
  <si>
    <t>часов (быстрой зарядкой 35А)</t>
  </si>
  <si>
    <t>Время заряда свинцовой АКБ, 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</si>
</sst>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"/>
    <numFmt numFmtId="165" formatCode="0.0%"/>
    <numFmt numFmtId="166" formatCode="0.000"/>
    <numFmt numFmtId="167" formatCode="#,##0.0"/>
    <numFmt numFmtId="168" formatCode="_-* #,##0\ _₽_-;\-* #,##0\ _₽_-;_-* &quot;-&quot;??\ _₽_-;_-@_-"/>
    <numFmt numFmtId="169" formatCode="[$$-409]#,##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rgb="FF333745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sz val="10"/>
      <color rgb="FF333745"/>
      <name val="Arial"/>
      <family val="2"/>
      <charset val="204"/>
    </font>
    <font>
      <b/>
      <sz val="10"/>
      <color rgb="FF333745"/>
      <name val="Arial"/>
      <family val="2"/>
      <charset val="204"/>
    </font>
    <font>
      <b/>
      <vertAlign val="superscript"/>
      <sz val="10"/>
      <color rgb="FF333745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3" borderId="0" xfId="0" applyFont="1" applyFill="1" applyBorder="1"/>
    <xf numFmtId="0" fontId="0" fillId="3" borderId="0" xfId="0" applyFill="1" applyBorder="1"/>
    <xf numFmtId="0" fontId="2" fillId="2" borderId="1" xfId="0" applyFont="1" applyFill="1" applyBorder="1"/>
    <xf numFmtId="0" fontId="0" fillId="4" borderId="1" xfId="0" applyFill="1" applyBorder="1"/>
    <xf numFmtId="164" fontId="0" fillId="0" borderId="1" xfId="0" applyNumberFormat="1" applyBorder="1"/>
    <xf numFmtId="0" fontId="5" fillId="0" borderId="0" xfId="1" applyFont="1"/>
    <xf numFmtId="0" fontId="6" fillId="0" borderId="0" xfId="1" applyFont="1"/>
    <xf numFmtId="0" fontId="3" fillId="0" borderId="0" xfId="0" applyFont="1" applyFill="1" applyBorder="1" applyAlignment="1">
      <alignment vertical="center" wrapText="1"/>
    </xf>
    <xf numFmtId="165" fontId="1" fillId="0" borderId="0" xfId="0" applyNumberFormat="1" applyFont="1"/>
    <xf numFmtId="3" fontId="2" fillId="3" borderId="0" xfId="0" applyNumberFormat="1" applyFont="1" applyFill="1"/>
    <xf numFmtId="0" fontId="0" fillId="3" borderId="0" xfId="0" applyFill="1"/>
    <xf numFmtId="1" fontId="0" fillId="0" borderId="0" xfId="0" applyNumberFormat="1"/>
    <xf numFmtId="166" fontId="0" fillId="0" borderId="0" xfId="0" applyNumberFormat="1"/>
    <xf numFmtId="167" fontId="0" fillId="0" borderId="1" xfId="0" applyNumberFormat="1" applyBorder="1"/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164" fontId="0" fillId="5" borderId="1" xfId="0" applyNumberFormat="1" applyFill="1" applyBorder="1"/>
    <xf numFmtId="9" fontId="0" fillId="0" borderId="0" xfId="0" applyNumberFormat="1"/>
    <xf numFmtId="165" fontId="0" fillId="0" borderId="1" xfId="0" applyNumberFormat="1" applyBorder="1"/>
    <xf numFmtId="2" fontId="0" fillId="0" borderId="0" xfId="0" applyNumberFormat="1"/>
    <xf numFmtId="0" fontId="2" fillId="0" borderId="0" xfId="0" applyFont="1" applyFill="1" applyBorder="1"/>
    <xf numFmtId="0" fontId="7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0" fillId="5" borderId="0" xfId="0" applyFill="1"/>
    <xf numFmtId="3" fontId="0" fillId="5" borderId="1" xfId="0" applyNumberFormat="1" applyFill="1" applyBorder="1"/>
    <xf numFmtId="168" fontId="0" fillId="5" borderId="1" xfId="2" applyNumberFormat="1" applyFont="1" applyFill="1" applyBorder="1"/>
    <xf numFmtId="0" fontId="2" fillId="6" borderId="1" xfId="0" applyFont="1" applyFill="1" applyBorder="1"/>
    <xf numFmtId="1" fontId="2" fillId="6" borderId="1" xfId="0" applyNumberFormat="1" applyFont="1" applyFill="1" applyBorder="1"/>
    <xf numFmtId="0" fontId="0" fillId="0" borderId="1" xfId="0" applyFill="1" applyBorder="1"/>
    <xf numFmtId="3" fontId="2" fillId="0" borderId="1" xfId="0" applyNumberFormat="1" applyFont="1" applyFill="1" applyBorder="1"/>
    <xf numFmtId="0" fontId="2" fillId="0" borderId="1" xfId="0" applyFont="1" applyFill="1" applyBorder="1"/>
    <xf numFmtId="169" fontId="0" fillId="0" borderId="0" xfId="0" applyNumberFormat="1"/>
    <xf numFmtId="0" fontId="0" fillId="0" borderId="0" xfId="0" applyFont="1" applyFill="1" applyBorder="1"/>
    <xf numFmtId="0" fontId="2" fillId="5" borderId="0" xfId="0" applyFont="1" applyFill="1"/>
    <xf numFmtId="164" fontId="2" fillId="6" borderId="1" xfId="0" applyNumberFormat="1" applyFont="1" applyFill="1" applyBorder="1"/>
    <xf numFmtId="0" fontId="12" fillId="5" borderId="0" xfId="0" applyFont="1" applyFill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Мощность от</a:t>
            </a:r>
            <a:r>
              <a:rPr lang="en-US"/>
              <a:t> </a:t>
            </a:r>
            <a:r>
              <a:rPr lang="ru-RU"/>
              <a:t>скорости</a:t>
            </a:r>
          </a:p>
        </c:rich>
      </c:tx>
      <c:layout>
        <c:manualLayout>
          <c:xMode val="edge"/>
          <c:yMode val="edge"/>
          <c:x val="0.26698726794419092"/>
          <c:y val="1.23600925813131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79418197725284"/>
          <c:y val="9.3245705932513093E-2"/>
          <c:w val="0.80898910839737848"/>
          <c:h val="0.76611012303569248"/>
        </c:manualLayout>
      </c:layout>
      <c:scatterChart>
        <c:scatterStyle val="smoothMarker"/>
        <c:varyColors val="0"/>
        <c:ser>
          <c:idx val="0"/>
          <c:order val="0"/>
          <c:tx>
            <c:v>Мощность</c:v>
          </c:tx>
          <c:dLbls>
            <c:dLbl>
              <c:idx val="12"/>
              <c:layout>
                <c:manualLayout>
                  <c:x val="-1.2574850299401197E-2"/>
                  <c:y val="7.448353467601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'калькулятор-BLDC'!$F$9:$F$21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xVal>
          <c:yVal>
            <c:numRef>
              <c:f>'калькулятор-BLDC'!$G$9:$G$21</c:f>
              <c:numCache>
                <c:formatCode>#,##0.0</c:formatCode>
                <c:ptCount val="13"/>
                <c:pt idx="0">
                  <c:v>0</c:v>
                </c:pt>
                <c:pt idx="1">
                  <c:v>0.76789712599128312</c:v>
                </c:pt>
                <c:pt idx="2">
                  <c:v>1.6187079405249096</c:v>
                </c:pt>
                <c:pt idx="3">
                  <c:v>2.6353461321432237</c:v>
                </c:pt>
                <c:pt idx="4">
                  <c:v>3.9007253893885672</c:v>
                </c:pt>
                <c:pt idx="5">
                  <c:v>5.497759400803286</c:v>
                </c:pt>
                <c:pt idx="6">
                  <c:v>7.5093618549297219</c:v>
                </c:pt>
                <c:pt idx="7">
                  <c:v>10.018446440310218</c:v>
                </c:pt>
                <c:pt idx="8">
                  <c:v>13.107926845487121</c:v>
                </c:pt>
                <c:pt idx="9">
                  <c:v>16.86071675900277</c:v>
                </c:pt>
                <c:pt idx="10">
                  <c:v>21.359729869399512</c:v>
                </c:pt>
                <c:pt idx="11">
                  <c:v>26.687879865219681</c:v>
                </c:pt>
                <c:pt idx="12">
                  <c:v>32.928080435005647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47616"/>
        <c:axId val="46669824"/>
      </c:scatterChart>
      <c:valAx>
        <c:axId val="46447616"/>
        <c:scaling>
          <c:orientation val="minMax"/>
          <c:max val="1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Скорость, км</a:t>
                </a:r>
                <a:r>
                  <a:rPr lang="en-US"/>
                  <a:t>/</a:t>
                </a:r>
                <a:r>
                  <a:rPr lang="ru-RU"/>
                  <a:t>ч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669824"/>
        <c:crosses val="autoZero"/>
        <c:crossBetween val="midCat"/>
      </c:valAx>
      <c:valAx>
        <c:axId val="46669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Мощность, кВт</a:t>
                </a:r>
              </a:p>
            </c:rich>
          </c:tx>
          <c:layout>
            <c:manualLayout>
              <c:xMode val="edge"/>
              <c:yMode val="edge"/>
              <c:x val="4.6521084909313644E-3"/>
              <c:y val="0.348295094933978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644761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Мощность от</a:t>
            </a:r>
            <a:r>
              <a:rPr lang="en-US"/>
              <a:t> </a:t>
            </a:r>
            <a:r>
              <a:rPr lang="ru-RU"/>
              <a:t>угла наклона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31270763566925"/>
          <c:y val="0.11068350177955213"/>
          <c:w val="0.81199639378882982"/>
          <c:h val="0.73406296341244659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'калькулятор-BLDC'!$I$9:$I$24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</c:numCache>
            </c:numRef>
          </c:xVal>
          <c:yVal>
            <c:numRef>
              <c:f>'калькулятор-BLDC'!$K$9:$K$24</c:f>
              <c:numCache>
                <c:formatCode>#,##0.0</c:formatCode>
                <c:ptCount val="16"/>
                <c:pt idx="0">
                  <c:v>7.5093618549297219</c:v>
                </c:pt>
                <c:pt idx="1">
                  <c:v>8.0329446482825269</c:v>
                </c:pt>
                <c:pt idx="2">
                  <c:v>8.550377168035773</c:v>
                </c:pt>
                <c:pt idx="3">
                  <c:v>9.0610290023685138</c:v>
                </c:pt>
                <c:pt idx="4">
                  <c:v>9.5642780006805044</c:v>
                </c:pt>
                <c:pt idx="5">
                  <c:v>10.059511031586862</c:v>
                </c:pt>
                <c:pt idx="6">
                  <c:v>10.546124729924228</c:v>
                </c:pt>
                <c:pt idx="7">
                  <c:v>11.023526231858273</c:v>
                </c:pt>
                <c:pt idx="8">
                  <c:v>11.491133897196958</c:v>
                </c:pt>
                <c:pt idx="9">
                  <c:v>11.948378018029501</c:v>
                </c:pt>
                <c:pt idx="10">
                  <c:v>12.39470151282773</c:v>
                </c:pt>
                <c:pt idx="11">
                  <c:v>12.82956060516409</c:v>
                </c:pt>
                <c:pt idx="12">
                  <c:v>13.252425486219487</c:v>
                </c:pt>
                <c:pt idx="13">
                  <c:v>13.66278096027369</c:v>
                </c:pt>
                <c:pt idx="14">
                  <c:v>14.060127072391978</c:v>
                </c:pt>
                <c:pt idx="15">
                  <c:v>14.443979717543215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616960"/>
        <c:axId val="48618880"/>
      </c:scatterChart>
      <c:valAx>
        <c:axId val="48616960"/>
        <c:scaling>
          <c:orientation val="minMax"/>
          <c:max val="3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Угол наклона, град</a:t>
                </a:r>
              </a:p>
            </c:rich>
          </c:tx>
          <c:layout>
            <c:manualLayout>
              <c:xMode val="edge"/>
              <c:yMode val="edge"/>
              <c:x val="0.4041952814301038"/>
              <c:y val="0.922966738983385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8618880"/>
        <c:crosses val="autoZero"/>
        <c:crossBetween val="midCat"/>
      </c:valAx>
      <c:valAx>
        <c:axId val="48618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Мощность, кВт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4861696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4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102849</xdr:colOff>
      <xdr:row>0</xdr:row>
      <xdr:rowOff>30479</xdr:rowOff>
    </xdr:from>
    <xdr:to>
      <xdr:col>11</xdr:col>
      <xdr:colOff>117296</xdr:colOff>
      <xdr:row>2</xdr:row>
      <xdr:rowOff>107576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3767" y="30479"/>
          <a:ext cx="6433177" cy="480509"/>
        </a:xfrm>
        <a:prstGeom prst="rect">
          <a:avLst/>
        </a:prstGeom>
        <a:noFill/>
        <a:ln>
          <a:solidFill>
            <a:srgbClr val="FF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28</xdr:row>
      <xdr:rowOff>26669</xdr:rowOff>
    </xdr:from>
    <xdr:to>
      <xdr:col>3</xdr:col>
      <xdr:colOff>324678</xdr:colOff>
      <xdr:row>51</xdr:row>
      <xdr:rowOff>106016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364044</xdr:colOff>
      <xdr:row>28</xdr:row>
      <xdr:rowOff>14225</xdr:rowOff>
    </xdr:from>
    <xdr:to>
      <xdr:col>10</xdr:col>
      <xdr:colOff>74705</xdr:colOff>
      <xdr:row>51</xdr:row>
      <xdr:rowOff>125506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98609</xdr:colOff>
      <xdr:row>4</xdr:row>
      <xdr:rowOff>143436</xdr:rowOff>
    </xdr:from>
    <xdr:to>
      <xdr:col>4</xdr:col>
      <xdr:colOff>770964</xdr:colOff>
      <xdr:row>7</xdr:row>
      <xdr:rowOff>35859</xdr:rowOff>
    </xdr:to>
    <xdr:sp macro="" textlink="">
      <xdr:nvSpPr>
        <xdr:cNvPr id="5" name="TextBox 4"/>
        <xdr:cNvSpPr txBox="1"/>
      </xdr:nvSpPr>
      <xdr:spPr>
        <a:xfrm>
          <a:off x="5199527" y="905436"/>
          <a:ext cx="1281955" cy="6364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20кВт</a:t>
          </a:r>
        </a:p>
        <a:p>
          <a:r>
            <a:rPr lang="ru-RU" sz="1100"/>
            <a:t>мотор-39 кг</a:t>
          </a:r>
        </a:p>
        <a:p>
          <a:r>
            <a:rPr lang="ru-RU" sz="1100"/>
            <a:t>контроллер-5.7</a:t>
          </a:r>
          <a:r>
            <a:rPr lang="ru-RU" sz="1100" baseline="0"/>
            <a:t> кг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ldenmotor.ru/electromobil-svoimi-rukami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29"/>
  <sheetViews>
    <sheetView tabSelected="1" zoomScale="70" zoomScaleNormal="70" workbookViewId="0">
      <selection activeCell="C5" sqref="C5"/>
    </sheetView>
  </sheetViews>
  <sheetFormatPr defaultRowHeight="14.4" x14ac:dyDescent="0.3"/>
  <cols>
    <col min="1" max="1" width="55.21875" customWidth="1"/>
    <col min="2" max="2" width="4.109375" customWidth="1"/>
    <col min="3" max="3" width="9.5546875" bestFit="1" customWidth="1"/>
    <col min="4" max="4" width="11.109375" customWidth="1"/>
    <col min="5" max="5" width="13.5546875" customWidth="1"/>
    <col min="6" max="6" width="11.109375" customWidth="1"/>
    <col min="7" max="7" width="12.6640625" customWidth="1"/>
    <col min="8" max="8" width="10.21875" customWidth="1"/>
    <col min="9" max="9" width="13.44140625" customWidth="1"/>
    <col min="10" max="10" width="8.77734375" customWidth="1"/>
    <col min="11" max="11" width="12.6640625" customWidth="1"/>
    <col min="12" max="12" width="11.33203125" customWidth="1"/>
    <col min="15" max="15" width="12.44140625" bestFit="1" customWidth="1"/>
  </cols>
  <sheetData>
    <row r="1" spans="1:12" x14ac:dyDescent="0.3">
      <c r="A1" s="5" t="s">
        <v>47</v>
      </c>
      <c r="B1" s="5"/>
      <c r="C1" s="6"/>
    </row>
    <row r="2" spans="1:12" ht="17.399999999999999" customHeight="1" x14ac:dyDescent="0.3">
      <c r="A2" s="10" t="s">
        <v>46</v>
      </c>
      <c r="B2" s="3"/>
      <c r="C2" s="4"/>
    </row>
    <row r="3" spans="1:12" x14ac:dyDescent="0.3">
      <c r="A3" s="7" t="s">
        <v>2</v>
      </c>
      <c r="B3" s="7"/>
      <c r="C3" s="7" t="s">
        <v>3</v>
      </c>
    </row>
    <row r="4" spans="1:12" x14ac:dyDescent="0.3">
      <c r="A4" s="26" t="s">
        <v>19</v>
      </c>
      <c r="B4" s="26"/>
      <c r="C4" s="2">
        <v>650</v>
      </c>
      <c r="F4" t="s">
        <v>8</v>
      </c>
      <c r="G4" s="16">
        <f>C16*C17*C12</f>
        <v>176.4</v>
      </c>
    </row>
    <row r="5" spans="1:12" ht="30" customHeight="1" x14ac:dyDescent="0.3">
      <c r="A5" s="26" t="s">
        <v>20</v>
      </c>
      <c r="B5" s="26"/>
      <c r="C5" s="2">
        <f>3.6*16</f>
        <v>57.6</v>
      </c>
      <c r="F5" t="s">
        <v>9</v>
      </c>
      <c r="G5" s="17">
        <f>0.5*C14*C15*C21</f>
        <v>0.41895000000000004</v>
      </c>
    </row>
    <row r="6" spans="1:12" x14ac:dyDescent="0.3">
      <c r="A6" s="26" t="s">
        <v>40</v>
      </c>
      <c r="B6" s="26"/>
      <c r="C6" s="2">
        <v>17</v>
      </c>
      <c r="F6" t="s">
        <v>10</v>
      </c>
      <c r="G6">
        <f>C16*C12</f>
        <v>9800</v>
      </c>
      <c r="I6" s="19" t="s">
        <v>43</v>
      </c>
      <c r="J6" s="21">
        <v>60</v>
      </c>
      <c r="K6" s="20" t="s">
        <v>32</v>
      </c>
    </row>
    <row r="7" spans="1:12" x14ac:dyDescent="0.3">
      <c r="A7" s="26" t="s">
        <v>41</v>
      </c>
      <c r="B7" s="26"/>
      <c r="C7" s="2">
        <v>4</v>
      </c>
      <c r="F7" s="19" t="s">
        <v>11</v>
      </c>
      <c r="G7" s="20">
        <v>0</v>
      </c>
      <c r="I7" s="19" t="s">
        <v>43</v>
      </c>
      <c r="J7" s="21">
        <f>J6/3.6</f>
        <v>16.666666666666668</v>
      </c>
      <c r="K7" s="20" t="s">
        <v>45</v>
      </c>
    </row>
    <row r="8" spans="1:12" ht="28.8" x14ac:dyDescent="0.3">
      <c r="A8" s="26" t="s">
        <v>48</v>
      </c>
      <c r="B8" s="26"/>
      <c r="C8" s="2">
        <v>31</v>
      </c>
      <c r="F8" s="30" t="s">
        <v>44</v>
      </c>
      <c r="G8" s="30" t="s">
        <v>15</v>
      </c>
      <c r="H8" s="29"/>
      <c r="I8" s="30" t="s">
        <v>14</v>
      </c>
      <c r="J8" s="30" t="s">
        <v>16</v>
      </c>
      <c r="K8" s="30" t="s">
        <v>15</v>
      </c>
      <c r="L8" s="30" t="s">
        <v>17</v>
      </c>
    </row>
    <row r="9" spans="1:12" x14ac:dyDescent="0.3">
      <c r="A9" s="26" t="s">
        <v>21</v>
      </c>
      <c r="B9" s="26"/>
      <c r="C9" s="1">
        <f>ROUND(SUM(C4:C8),0)</f>
        <v>760</v>
      </c>
      <c r="D9" t="s">
        <v>4</v>
      </c>
      <c r="F9" s="2">
        <v>0</v>
      </c>
      <c r="G9" s="18">
        <f t="shared" ref="G9:G23" si="0">($G$4*F9/3.6*COS($G$7)+$G$5*(F9/3.6)^3+$G$6*SIN($G$7))/1000/$C$25</f>
        <v>0</v>
      </c>
      <c r="I9" s="2">
        <v>0</v>
      </c>
      <c r="J9" s="18">
        <f t="shared" ref="J9:J24" si="1">TAN(I9*PI()/180)*100</f>
        <v>0</v>
      </c>
      <c r="K9" s="18">
        <f t="shared" ref="K9:K24" si="2">($G$4*$J$7*COS(I9*PI()/180)+$G$5*($J$7)^3+$G$6*SIN(I9*PI()/180))/1000/$C$25</f>
        <v>7.5093618549297219</v>
      </c>
      <c r="L9" s="23">
        <f t="shared" ref="L9:L24" si="3">K9/$K$9-1</f>
        <v>0</v>
      </c>
    </row>
    <row r="10" spans="1:12" x14ac:dyDescent="0.3">
      <c r="A10" s="26" t="s">
        <v>22</v>
      </c>
      <c r="B10" s="26"/>
      <c r="C10" s="2">
        <f>2*85</f>
        <v>170</v>
      </c>
      <c r="F10" s="2">
        <v>10</v>
      </c>
      <c r="G10" s="18">
        <f t="shared" si="0"/>
        <v>0.76789712599128312</v>
      </c>
      <c r="I10" s="2">
        <v>2</v>
      </c>
      <c r="J10" s="18">
        <f t="shared" si="1"/>
        <v>3.492076949174773</v>
      </c>
      <c r="K10" s="18">
        <f t="shared" si="2"/>
        <v>8.0329446482825269</v>
      </c>
      <c r="L10" s="23">
        <f t="shared" si="3"/>
        <v>6.9724006309415554E-2</v>
      </c>
    </row>
    <row r="11" spans="1:12" x14ac:dyDescent="0.3">
      <c r="A11" s="26" t="s">
        <v>12</v>
      </c>
      <c r="B11" s="26"/>
      <c r="C11" s="2">
        <v>70</v>
      </c>
      <c r="F11" s="2">
        <v>20</v>
      </c>
      <c r="G11" s="18">
        <f t="shared" si="0"/>
        <v>1.6187079405249096</v>
      </c>
      <c r="I11" s="2">
        <v>4</v>
      </c>
      <c r="J11" s="18">
        <f t="shared" si="1"/>
        <v>6.9926811943510412</v>
      </c>
      <c r="K11" s="18">
        <f t="shared" si="2"/>
        <v>8.550377168035773</v>
      </c>
      <c r="L11" s="23">
        <f t="shared" si="3"/>
        <v>0.13862899847110821</v>
      </c>
    </row>
    <row r="12" spans="1:12" x14ac:dyDescent="0.3">
      <c r="A12" s="26" t="s">
        <v>23</v>
      </c>
      <c r="B12" s="28" t="s">
        <v>34</v>
      </c>
      <c r="C12" s="1">
        <f>C9+C10+C11</f>
        <v>1000</v>
      </c>
      <c r="D12" t="s">
        <v>4</v>
      </c>
      <c r="F12" s="2">
        <v>30</v>
      </c>
      <c r="G12" s="18">
        <f t="shared" si="0"/>
        <v>2.6353461321432237</v>
      </c>
      <c r="I12" s="2">
        <v>6</v>
      </c>
      <c r="J12" s="18">
        <f t="shared" si="1"/>
        <v>10.510423526567646</v>
      </c>
      <c r="K12" s="18">
        <f t="shared" si="2"/>
        <v>9.0610290023685138</v>
      </c>
      <c r="L12" s="23">
        <f t="shared" si="3"/>
        <v>0.20663102636612973</v>
      </c>
    </row>
    <row r="13" spans="1:12" x14ac:dyDescent="0.3">
      <c r="A13" s="27" t="s">
        <v>0</v>
      </c>
      <c r="B13" s="27"/>
      <c r="C13" s="8"/>
      <c r="F13" s="2">
        <v>40</v>
      </c>
      <c r="G13" s="18">
        <f t="shared" si="0"/>
        <v>3.9007253893885672</v>
      </c>
      <c r="I13" s="2">
        <v>8</v>
      </c>
      <c r="J13" s="18">
        <f t="shared" si="1"/>
        <v>14.054083470239146</v>
      </c>
      <c r="K13" s="18">
        <f t="shared" si="2"/>
        <v>9.5642780006805044</v>
      </c>
      <c r="L13" s="23">
        <f t="shared" si="3"/>
        <v>0.27364723999839979</v>
      </c>
    </row>
    <row r="14" spans="1:12" ht="26.4" x14ac:dyDescent="0.3">
      <c r="A14" s="28" t="s">
        <v>24</v>
      </c>
      <c r="B14" s="28" t="s">
        <v>35</v>
      </c>
      <c r="C14" s="2">
        <v>0.34200000000000003</v>
      </c>
      <c r="F14" s="2">
        <v>50</v>
      </c>
      <c r="G14" s="18">
        <f t="shared" si="0"/>
        <v>5.497759400803286</v>
      </c>
      <c r="I14" s="2">
        <v>10</v>
      </c>
      <c r="J14" s="18">
        <f t="shared" si="1"/>
        <v>17.632698070846498</v>
      </c>
      <c r="K14" s="18">
        <f t="shared" si="2"/>
        <v>10.059511031586862</v>
      </c>
      <c r="L14" s="23">
        <f t="shared" si="3"/>
        <v>0.33959599043466326</v>
      </c>
    </row>
    <row r="15" spans="1:12" ht="15.6" x14ac:dyDescent="0.3">
      <c r="A15" s="28" t="s">
        <v>25</v>
      </c>
      <c r="B15" s="28" t="s">
        <v>36</v>
      </c>
      <c r="C15" s="2">
        <v>2</v>
      </c>
      <c r="F15" s="2">
        <v>60</v>
      </c>
      <c r="G15" s="18">
        <f t="shared" si="0"/>
        <v>7.5093618549297219</v>
      </c>
      <c r="I15" s="2">
        <v>12</v>
      </c>
      <c r="J15" s="18">
        <f t="shared" si="1"/>
        <v>21.255656167002211</v>
      </c>
      <c r="K15" s="18">
        <f t="shared" si="2"/>
        <v>10.546124729924228</v>
      </c>
      <c r="L15" s="23">
        <f t="shared" si="3"/>
        <v>0.40439692928114024</v>
      </c>
    </row>
    <row r="16" spans="1:12" ht="15.6" x14ac:dyDescent="0.3">
      <c r="A16" s="28" t="s">
        <v>26</v>
      </c>
      <c r="B16" s="28" t="s">
        <v>33</v>
      </c>
      <c r="C16" s="2">
        <v>9.8000000000000007</v>
      </c>
      <c r="F16" s="2">
        <v>70</v>
      </c>
      <c r="G16" s="18">
        <f t="shared" si="0"/>
        <v>10.018446440310218</v>
      </c>
      <c r="I16" s="2">
        <v>14</v>
      </c>
      <c r="J16" s="18">
        <f t="shared" si="1"/>
        <v>24.93280028431807</v>
      </c>
      <c r="K16" s="18">
        <f t="shared" si="2"/>
        <v>11.023526231858273</v>
      </c>
      <c r="L16" s="23">
        <f t="shared" si="3"/>
        <v>0.4679711065756651</v>
      </c>
    </row>
    <row r="17" spans="1:12" x14ac:dyDescent="0.3">
      <c r="A17" s="28" t="s">
        <v>27</v>
      </c>
      <c r="B17" s="28" t="s">
        <v>37</v>
      </c>
      <c r="C17" s="2">
        <v>1.7999999999999999E-2</v>
      </c>
      <c r="F17" s="2">
        <v>80</v>
      </c>
      <c r="G17" s="18">
        <f t="shared" si="0"/>
        <v>13.107926845487121</v>
      </c>
      <c r="I17" s="2">
        <v>16</v>
      </c>
      <c r="J17" s="18">
        <f t="shared" si="1"/>
        <v>28.674538575880792</v>
      </c>
      <c r="K17" s="18">
        <f t="shared" si="2"/>
        <v>11.491133897196958</v>
      </c>
      <c r="L17" s="23">
        <f t="shared" si="3"/>
        <v>0.53024106697605666</v>
      </c>
    </row>
    <row r="18" spans="1:12" x14ac:dyDescent="0.3">
      <c r="A18" s="28" t="s">
        <v>30</v>
      </c>
      <c r="B18" s="28" t="s">
        <v>13</v>
      </c>
      <c r="C18" s="2">
        <v>60</v>
      </c>
      <c r="D18" t="s">
        <v>32</v>
      </c>
      <c r="F18" s="2">
        <v>90</v>
      </c>
      <c r="G18" s="18">
        <f t="shared" si="0"/>
        <v>16.86071675900277</v>
      </c>
      <c r="I18" s="2">
        <v>18</v>
      </c>
      <c r="J18" s="18">
        <f t="shared" si="1"/>
        <v>32.491969623290629</v>
      </c>
      <c r="K18" s="18">
        <f t="shared" si="2"/>
        <v>11.948378018029501</v>
      </c>
      <c r="L18" s="23">
        <f t="shared" si="3"/>
        <v>0.59113094412751832</v>
      </c>
    </row>
    <row r="19" spans="1:12" ht="26.4" x14ac:dyDescent="0.3">
      <c r="A19" s="28" t="s">
        <v>31</v>
      </c>
      <c r="B19" s="28" t="s">
        <v>13</v>
      </c>
      <c r="C19" s="9">
        <f>C18/3.6</f>
        <v>16.666666666666668</v>
      </c>
      <c r="D19" t="s">
        <v>42</v>
      </c>
      <c r="F19" s="2">
        <v>100</v>
      </c>
      <c r="G19" s="18">
        <f t="shared" si="0"/>
        <v>21.359729869399512</v>
      </c>
      <c r="I19" s="2">
        <v>20</v>
      </c>
      <c r="J19" s="18">
        <f t="shared" si="1"/>
        <v>36.397023426620237</v>
      </c>
      <c r="K19" s="18">
        <f t="shared" si="2"/>
        <v>12.39470151282773</v>
      </c>
      <c r="L19" s="23">
        <f t="shared" si="3"/>
        <v>0.65056655309410827</v>
      </c>
    </row>
    <row r="20" spans="1:12" x14ac:dyDescent="0.3">
      <c r="A20" s="28" t="s">
        <v>28</v>
      </c>
      <c r="B20" s="28" t="s">
        <v>38</v>
      </c>
      <c r="C20" s="2">
        <f>0*PI()/180</f>
        <v>0</v>
      </c>
      <c r="F20" s="2">
        <v>110</v>
      </c>
      <c r="G20" s="18">
        <f t="shared" si="0"/>
        <v>26.687879865219681</v>
      </c>
      <c r="I20" s="2">
        <v>22</v>
      </c>
      <c r="J20" s="18">
        <f t="shared" si="1"/>
        <v>40.402622583515679</v>
      </c>
      <c r="K20" s="18">
        <f t="shared" si="2"/>
        <v>12.82956060516409</v>
      </c>
      <c r="L20" s="23">
        <f t="shared" si="3"/>
        <v>0.70847548074165334</v>
      </c>
    </row>
    <row r="21" spans="1:12" ht="15.6" x14ac:dyDescent="0.3">
      <c r="A21" s="28" t="s">
        <v>29</v>
      </c>
      <c r="B21" s="28" t="s">
        <v>39</v>
      </c>
      <c r="C21" s="2">
        <v>1.2250000000000001</v>
      </c>
      <c r="F21" s="2">
        <v>120</v>
      </c>
      <c r="G21" s="18">
        <f t="shared" si="0"/>
        <v>32.928080435005647</v>
      </c>
      <c r="I21" s="2">
        <v>24</v>
      </c>
      <c r="J21" s="18">
        <f t="shared" si="1"/>
        <v>44.522868530853607</v>
      </c>
      <c r="K21" s="18">
        <f t="shared" si="2"/>
        <v>13.252425486219487</v>
      </c>
      <c r="L21" s="23">
        <f t="shared" si="3"/>
        <v>0.76478717396200269</v>
      </c>
    </row>
    <row r="22" spans="1:12" x14ac:dyDescent="0.3">
      <c r="F22" s="2">
        <v>130</v>
      </c>
      <c r="G22" s="18">
        <f t="shared" si="0"/>
        <v>40.163245267299708</v>
      </c>
      <c r="I22" s="2">
        <v>26</v>
      </c>
      <c r="J22" s="18">
        <f t="shared" si="1"/>
        <v>48.773258856586146</v>
      </c>
      <c r="K22" s="18">
        <f t="shared" si="2"/>
        <v>13.66278096027369</v>
      </c>
      <c r="L22" s="23">
        <f t="shared" si="3"/>
        <v>0.81943302563111819</v>
      </c>
    </row>
    <row r="23" spans="1:12" x14ac:dyDescent="0.3">
      <c r="A23" s="5" t="s">
        <v>1</v>
      </c>
      <c r="B23" s="5"/>
      <c r="C23" s="14">
        <f>C16*C17*C12*C19*COS(C20*PI()/180) + 0.5*C14*C15*C21*C19^3 +C16*C12*SIN(C20*PI()/180)*C19</f>
        <v>4879.5833333333339</v>
      </c>
      <c r="D23" s="15" t="s">
        <v>6</v>
      </c>
      <c r="F23" s="2">
        <v>140</v>
      </c>
      <c r="G23" s="18">
        <f t="shared" si="0"/>
        <v>48.476288050644257</v>
      </c>
      <c r="I23" s="2">
        <v>28</v>
      </c>
      <c r="J23" s="18">
        <f t="shared" si="1"/>
        <v>53.170943166147879</v>
      </c>
      <c r="K23" s="18">
        <f t="shared" si="2"/>
        <v>14.060127072391978</v>
      </c>
      <c r="L23" s="23">
        <f t="shared" si="3"/>
        <v>0.87234645819628875</v>
      </c>
    </row>
    <row r="24" spans="1:12" x14ac:dyDescent="0.3">
      <c r="I24" s="2">
        <v>30</v>
      </c>
      <c r="J24" s="18">
        <f t="shared" si="1"/>
        <v>57.735026918962575</v>
      </c>
      <c r="K24" s="18">
        <f t="shared" si="2"/>
        <v>14.443979717543215</v>
      </c>
      <c r="L24" s="23">
        <f t="shared" si="3"/>
        <v>0.92346300479062382</v>
      </c>
    </row>
    <row r="25" spans="1:12" ht="15.6" customHeight="1" x14ac:dyDescent="0.3">
      <c r="A25" s="12" t="s">
        <v>5</v>
      </c>
      <c r="B25" s="12"/>
      <c r="C25" s="13">
        <f>0.76*0.9*0.95</f>
        <v>0.64980000000000004</v>
      </c>
    </row>
    <row r="26" spans="1:12" x14ac:dyDescent="0.3">
      <c r="I26" s="25" t="s">
        <v>18</v>
      </c>
    </row>
    <row r="27" spans="1:12" ht="15" customHeight="1" x14ac:dyDescent="0.3">
      <c r="A27" s="5" t="s">
        <v>7</v>
      </c>
      <c r="B27" s="5"/>
      <c r="C27" s="14">
        <f>C23/C25</f>
        <v>7509.3618549297225</v>
      </c>
      <c r="D27" s="15" t="s">
        <v>6</v>
      </c>
      <c r="I27" s="24">
        <f>ATAN(J27)*180/PI()</f>
        <v>6.8427734126309403</v>
      </c>
      <c r="J27" s="22">
        <v>0.12</v>
      </c>
    </row>
    <row r="28" spans="1:12" ht="9" customHeight="1" x14ac:dyDescent="0.4">
      <c r="B28" s="11"/>
    </row>
    <row r="29" spans="1:12" ht="6.6" customHeight="1" x14ac:dyDescent="0.3"/>
  </sheetData>
  <hyperlinks>
    <hyperlink ref="A2" r:id="rId1"/>
  </hyperlinks>
  <pageMargins left="0.7" right="0.7" top="0.75" bottom="0.75" header="0.3" footer="0.3"/>
  <pageSetup paperSize="9" orientation="portrait" horizontalDpi="0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9"/>
  <sheetViews>
    <sheetView workbookViewId="0">
      <selection activeCell="F5" sqref="F5"/>
    </sheetView>
  </sheetViews>
  <sheetFormatPr defaultRowHeight="14.4" x14ac:dyDescent="0.3"/>
  <cols>
    <col min="1" max="1" width="29.44140625" customWidth="1"/>
    <col min="2" max="2" width="9.21875" bestFit="1" customWidth="1"/>
    <col min="3" max="3" width="35.109375" bestFit="1" customWidth="1"/>
    <col min="4" max="4" width="7" customWidth="1"/>
    <col min="5" max="5" width="28.88671875" bestFit="1" customWidth="1"/>
    <col min="6" max="6" width="9.21875" bestFit="1" customWidth="1"/>
    <col min="7" max="7" width="34.6640625" customWidth="1"/>
  </cols>
  <sheetData>
    <row r="1" spans="1:7" x14ac:dyDescent="0.3">
      <c r="A1" s="31" t="s">
        <v>49</v>
      </c>
    </row>
    <row r="2" spans="1:7" x14ac:dyDescent="0.3">
      <c r="A2" s="31"/>
    </row>
    <row r="3" spans="1:7" x14ac:dyDescent="0.3">
      <c r="A3" s="42" t="s">
        <v>69</v>
      </c>
      <c r="B3" s="32"/>
      <c r="C3" s="32"/>
      <c r="E3" s="42" t="s">
        <v>63</v>
      </c>
      <c r="F3" s="32"/>
      <c r="G3" s="32"/>
    </row>
    <row r="4" spans="1:7" x14ac:dyDescent="0.3">
      <c r="A4" s="7" t="s">
        <v>2</v>
      </c>
      <c r="B4" s="7" t="s">
        <v>3</v>
      </c>
      <c r="C4" s="7" t="s">
        <v>54</v>
      </c>
      <c r="E4" s="7" t="s">
        <v>2</v>
      </c>
      <c r="F4" s="7" t="s">
        <v>3</v>
      </c>
      <c r="G4" s="7" t="s">
        <v>54</v>
      </c>
    </row>
    <row r="5" spans="1:7" x14ac:dyDescent="0.3">
      <c r="A5" s="1" t="s">
        <v>52</v>
      </c>
      <c r="B5" s="1">
        <v>150</v>
      </c>
      <c r="C5" s="1" t="s">
        <v>70</v>
      </c>
      <c r="E5" s="1" t="s">
        <v>52</v>
      </c>
      <c r="F5" s="1">
        <v>150</v>
      </c>
      <c r="G5" s="1" t="s">
        <v>70</v>
      </c>
    </row>
    <row r="6" spans="1:7" x14ac:dyDescent="0.3">
      <c r="A6" s="1" t="s">
        <v>56</v>
      </c>
      <c r="B6" s="1">
        <v>48</v>
      </c>
      <c r="C6" s="1" t="s">
        <v>71</v>
      </c>
      <c r="E6" s="1" t="s">
        <v>56</v>
      </c>
      <c r="F6" s="1">
        <v>48</v>
      </c>
      <c r="G6" s="1" t="s">
        <v>71</v>
      </c>
    </row>
    <row r="7" spans="1:7" x14ac:dyDescent="0.3">
      <c r="A7" s="20" t="s">
        <v>50</v>
      </c>
      <c r="B7" s="33">
        <f>'калькулятор-BLDC'!C27</f>
        <v>7509.3618549297225</v>
      </c>
      <c r="C7" s="20" t="s">
        <v>53</v>
      </c>
      <c r="E7" s="37" t="s">
        <v>50</v>
      </c>
      <c r="F7" s="38">
        <v>5000</v>
      </c>
      <c r="G7" s="1" t="s">
        <v>61</v>
      </c>
    </row>
    <row r="8" spans="1:7" x14ac:dyDescent="0.3">
      <c r="A8" s="20" t="s">
        <v>51</v>
      </c>
      <c r="B8" s="20">
        <f>'калькулятор-BLDC'!C18</f>
        <v>60</v>
      </c>
      <c r="C8" s="20" t="s">
        <v>53</v>
      </c>
      <c r="E8" s="37" t="s">
        <v>51</v>
      </c>
      <c r="F8" s="39">
        <v>60</v>
      </c>
      <c r="G8" s="1" t="s">
        <v>62</v>
      </c>
    </row>
    <row r="9" spans="1:7" x14ac:dyDescent="0.3">
      <c r="A9" s="20" t="s">
        <v>55</v>
      </c>
      <c r="B9" s="21">
        <f>B5/B8</f>
        <v>2.5</v>
      </c>
      <c r="C9" s="20" t="s">
        <v>58</v>
      </c>
      <c r="E9" s="20" t="s">
        <v>55</v>
      </c>
      <c r="F9" s="21">
        <f>F5/F8</f>
        <v>2.5</v>
      </c>
      <c r="G9" s="20" t="s">
        <v>58</v>
      </c>
    </row>
    <row r="10" spans="1:7" x14ac:dyDescent="0.3">
      <c r="A10" s="20" t="s">
        <v>57</v>
      </c>
      <c r="B10" s="34">
        <f>B7*B9</f>
        <v>18773.404637324307</v>
      </c>
      <c r="C10" s="20" t="s">
        <v>58</v>
      </c>
      <c r="E10" s="20" t="s">
        <v>57</v>
      </c>
      <c r="F10" s="34">
        <f>F7*F9</f>
        <v>12500</v>
      </c>
      <c r="G10" s="20" t="s">
        <v>58</v>
      </c>
    </row>
    <row r="11" spans="1:7" x14ac:dyDescent="0.3">
      <c r="A11" s="35" t="s">
        <v>59</v>
      </c>
      <c r="B11" s="36">
        <f>CEILING(B10/B6,1)</f>
        <v>392</v>
      </c>
      <c r="C11" s="35" t="s">
        <v>64</v>
      </c>
      <c r="E11" s="35" t="s">
        <v>59</v>
      </c>
      <c r="F11" s="36">
        <f>CEILING(F10/F6,1)</f>
        <v>261</v>
      </c>
      <c r="G11" s="35" t="s">
        <v>64</v>
      </c>
    </row>
    <row r="12" spans="1:7" x14ac:dyDescent="0.3">
      <c r="A12" s="35" t="s">
        <v>65</v>
      </c>
      <c r="B12" s="36">
        <f>B7/B6</f>
        <v>156.44503864436922</v>
      </c>
      <c r="C12" s="35" t="s">
        <v>66</v>
      </c>
      <c r="E12" s="35" t="s">
        <v>65</v>
      </c>
      <c r="F12" s="36">
        <f>F7/F6</f>
        <v>104.16666666666667</v>
      </c>
      <c r="G12" s="35" t="s">
        <v>66</v>
      </c>
    </row>
    <row r="13" spans="1:7" x14ac:dyDescent="0.3">
      <c r="A13" s="35" t="s">
        <v>68</v>
      </c>
      <c r="B13" s="36">
        <f>B10*3.6/320</f>
        <v>211.20080216989845</v>
      </c>
      <c r="C13" s="35" t="s">
        <v>60</v>
      </c>
      <c r="E13" s="35" t="s">
        <v>68</v>
      </c>
      <c r="F13" s="36">
        <f>F10*3.6/320</f>
        <v>140.625</v>
      </c>
      <c r="G13" s="35" t="s">
        <v>60</v>
      </c>
    </row>
    <row r="14" spans="1:7" x14ac:dyDescent="0.3">
      <c r="A14" s="35" t="s">
        <v>74</v>
      </c>
      <c r="B14" s="43">
        <f>B11/35</f>
        <v>11.2</v>
      </c>
      <c r="C14" s="35" t="s">
        <v>76</v>
      </c>
      <c r="E14" s="35" t="s">
        <v>74</v>
      </c>
      <c r="F14" s="43">
        <f>F11/35</f>
        <v>7.4571428571428573</v>
      </c>
      <c r="G14" s="35" t="s">
        <v>76</v>
      </c>
    </row>
    <row r="15" spans="1:7" x14ac:dyDescent="0.3">
      <c r="B15" s="40">
        <f>B10*255/320</f>
        <v>14960.056820367807</v>
      </c>
      <c r="C15" s="41" t="s">
        <v>72</v>
      </c>
      <c r="F15" s="40">
        <f>F10*255/320</f>
        <v>9960.9375</v>
      </c>
      <c r="G15" s="41" t="s">
        <v>72</v>
      </c>
    </row>
    <row r="16" spans="1:7" x14ac:dyDescent="0.3">
      <c r="B16" s="40"/>
      <c r="F16" s="40"/>
    </row>
    <row r="17" spans="1:7" x14ac:dyDescent="0.3">
      <c r="A17" s="35" t="s">
        <v>67</v>
      </c>
      <c r="B17" s="36">
        <f>B10*28/1350</f>
        <v>389.37431840376343</v>
      </c>
      <c r="C17" s="35" t="s">
        <v>60</v>
      </c>
      <c r="E17" s="35" t="s">
        <v>67</v>
      </c>
      <c r="F17" s="36">
        <f>F10*28/1350</f>
        <v>259.25925925925924</v>
      </c>
      <c r="G17" s="35" t="s">
        <v>60</v>
      </c>
    </row>
    <row r="18" spans="1:7" x14ac:dyDescent="0.3">
      <c r="A18" s="35" t="s">
        <v>74</v>
      </c>
      <c r="B18" s="43">
        <f>B11*0.1</f>
        <v>39.200000000000003</v>
      </c>
      <c r="C18" s="35" t="s">
        <v>75</v>
      </c>
      <c r="E18" s="35" t="s">
        <v>77</v>
      </c>
      <c r="F18" s="43">
        <f>F11*0.1</f>
        <v>26.1</v>
      </c>
      <c r="G18" s="35" t="s">
        <v>75</v>
      </c>
    </row>
    <row r="19" spans="1:7" ht="46.2" customHeight="1" x14ac:dyDescent="0.3">
      <c r="E19" s="44" t="s">
        <v>73</v>
      </c>
      <c r="F19" s="44"/>
      <c r="G19" s="44"/>
    </row>
  </sheetData>
  <mergeCells count="1">
    <mergeCell ref="E19:G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калькулятор-BLDC</vt:lpstr>
      <vt:lpstr>батарея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Антонов</dc:creator>
  <cp:lastModifiedBy>Сергей Антонов</cp:lastModifiedBy>
  <dcterms:created xsi:type="dcterms:W3CDTF">2017-02-24T11:11:47Z</dcterms:created>
  <dcterms:modified xsi:type="dcterms:W3CDTF">2018-11-23T08:28:23Z</dcterms:modified>
</cp:coreProperties>
</file>